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<sst xmlns="http://schemas.openxmlformats.org/spreadsheetml/2006/main" count="121" uniqueCount="115">
  <si>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</si>
  <si>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</si>
  <si>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</si>
  <si>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</si>
  <si>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</si>
  <si>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</si>
  <si>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</si>
  <si>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</si>
  <si>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</si>
  <si>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</si>
  <si>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</si>
  <si>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</si>
  <si>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</si>
  <si>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</si>
  <si>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</si>
  <si>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</si>
  <si>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</si>
  <si>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</si>
  <si>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</si>
  <si>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</si>
  <si>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</si>
  <si>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</si>
  <si>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</si>
  <si>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</si>
  <si>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</si>
  <si>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</si>
  <si>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</si>
  <si>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</si>
  <si>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</si>
  <si>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</si>
  <si>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</si>
  <si>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</si>
  <si>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</si>
  <si>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</si>
  <si>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</si>
  <si>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</si>
  <si>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</si>
  <si>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</si>
  <si>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</si>
  <si>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</si>
  <si>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</si>
  <si>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</si>
  <si>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</si>
  <si>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</si>
  <si>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</si>
  <si>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</si>
  <si>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</si>
  <si>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</si>
  <si>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</si>
  <si>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</si>
  <si>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</si>
  <si>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</si>
  <si>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</si>
  <si>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</si>
  <si>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</si>
  <si>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</si>
  <si>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</si>
  <si>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</si>
  <si>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</si>
  <si>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</si>
  <si>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</si>
  <si>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</si>
  <si>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</si>
  <si>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</si>
  <si>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</si>
  <si>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</si>
  <si>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</si>
  <si>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</si>
  <si>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</si>
  <si>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</si>
  <si>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</si>
  <si>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</si>
  <si>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</si>
  <si>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</si>
  <si>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</si>
  <si>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</si>
  <si>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</si>
  <si>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</si>
  <si>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</si>
  <si>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</si>
  <si>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</si>
  <si>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</si>
  <si>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</si>
  <si>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</si>
  <si>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</si>
  <si>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</si>
  <si>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</si>
  <si>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</si>
  <si>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</si>
  <si>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</si>
  <si>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</si>
  <si>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</si>
  <si>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</si>
  <si>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</si>
  <si>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</si>
  <si>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</si>
  <si>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</si>
  <si>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</si>
  <si>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</si>
  <si>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</si>
  <si>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</si>
  <si>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</si>
  <si>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</si>
  <si>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</si>
  <si>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</si>
  <si>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</si>
  <si>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</si>
  <si>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</si>
  <si>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</si>
  <si>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</si>
  <si>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</si>
  <si>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Відсоток виконання до плану 8 місяців</t>
  </si>
  <si>
    <t>Залишок призначень до плану 8 місяців</t>
  </si>
  <si>
    <t>Капітальний ремонт міжквартального проїзду від ж/б № 184 до ж/б № 180 по вул.Благовісна</t>
  </si>
  <si>
    <t>Касові видатки станом на 29.08.19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</si>
</sst>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6" xfId="112" applyFont="1" applyBorder="1" applyAlignment="1">
      <alignment horizontal="center" wrapText="1"/>
      <protection/>
    </xf>
    <xf numFmtId="0" fontId="32" fillId="0" borderId="17" xfId="112" applyFont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2" fontId="33" fillId="0" borderId="19" xfId="112" applyNumberFormat="1" applyFont="1" applyFill="1" applyBorder="1" applyAlignment="1">
      <alignment horizontal="center"/>
      <protection/>
    </xf>
    <xf numFmtId="2" fontId="33" fillId="0" borderId="20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0" fillId="46" borderId="19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  <xf numFmtId="0" fontId="20" fillId="0" borderId="19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20" t="s">
        <v>13</v>
      </c>
      <c r="E1" s="121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20.25" customHeight="1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22" t="s">
        <v>3</v>
      </c>
      <c r="B7" s="13"/>
      <c r="C7" s="122" t="s">
        <v>0</v>
      </c>
      <c r="D7" s="105" t="s">
        <v>1</v>
      </c>
      <c r="E7" s="105" t="s">
        <v>16</v>
      </c>
      <c r="F7" s="105" t="s">
        <v>37</v>
      </c>
      <c r="G7" s="14" t="s">
        <v>38</v>
      </c>
      <c r="H7" s="118" t="s">
        <v>114</v>
      </c>
      <c r="I7" s="14" t="s">
        <v>38</v>
      </c>
      <c r="J7" s="108" t="s">
        <v>2</v>
      </c>
      <c r="K7" s="106" t="s">
        <v>111</v>
      </c>
    </row>
    <row r="8" spans="1:26" ht="39.75" customHeight="1">
      <c r="A8" s="122"/>
      <c r="B8" s="1" t="s">
        <v>17</v>
      </c>
      <c r="C8" s="122"/>
      <c r="D8" s="105"/>
      <c r="E8" s="105"/>
      <c r="F8" s="105"/>
      <c r="G8" s="49" t="s">
        <v>39</v>
      </c>
      <c r="H8" s="119"/>
      <c r="I8" s="49" t="s">
        <v>109</v>
      </c>
      <c r="J8" s="109"/>
      <c r="K8" s="107"/>
      <c r="M8" s="116" t="s">
        <v>112</v>
      </c>
      <c r="N8" s="108" t="s">
        <v>22</v>
      </c>
      <c r="O8" s="106" t="s">
        <v>23</v>
      </c>
      <c r="P8" s="108" t="s">
        <v>24</v>
      </c>
      <c r="Q8" s="108" t="s">
        <v>25</v>
      </c>
      <c r="R8" s="108" t="s">
        <v>26</v>
      </c>
      <c r="S8" s="108" t="s">
        <v>27</v>
      </c>
      <c r="T8" s="108" t="s">
        <v>28</v>
      </c>
      <c r="U8" s="108" t="s">
        <v>29</v>
      </c>
      <c r="V8" s="108" t="s">
        <v>30</v>
      </c>
      <c r="W8" s="108" t="s">
        <v>31</v>
      </c>
      <c r="X8" s="108" t="s">
        <v>32</v>
      </c>
      <c r="Y8" s="108" t="s">
        <v>33</v>
      </c>
      <c r="Z8" s="108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17"/>
      <c r="N9" s="109"/>
      <c r="O9" s="107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s="15" customFormat="1" ht="19.5" customHeight="1">
      <c r="A10" s="110" t="s">
        <v>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141846980.96</v>
      </c>
      <c r="I11" s="8"/>
      <c r="J11" s="38">
        <f aca="true" t="shared" si="0" ref="J11:J19">H11/D11*100</f>
        <v>76.33657444379992</v>
      </c>
      <c r="K11" s="38">
        <f>(H11/(N11+O11+P11+Q11+R11+O28+P28+Q28+R28+S11+S28+T11+T28+U11+U28))*100</f>
        <v>94.39861805020509</v>
      </c>
      <c r="L11" s="73"/>
      <c r="M11" s="46">
        <f>N11+O11+P11+Q11+R11+S11+T11+U11-H12</f>
        <v>6234244.289999992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14997527.7</v>
      </c>
      <c r="V11" s="43">
        <f t="shared" si="1"/>
        <v>4789085.999999999</v>
      </c>
      <c r="W11" s="43">
        <f t="shared" si="1"/>
        <v>3168731</v>
      </c>
      <c r="X11" s="43">
        <f t="shared" si="1"/>
        <v>2882200.29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125620074.19</v>
      </c>
      <c r="I12" s="37"/>
      <c r="J12" s="51">
        <f t="shared" si="0"/>
        <v>85.35108756453178</v>
      </c>
      <c r="K12" s="66">
        <f>(H12/(N11+O11+P11+Q11+R11+S11+T11+U11))*100</f>
        <v>95.27186946785848</v>
      </c>
      <c r="L12" s="73"/>
      <c r="M12" s="42">
        <f>(N12+O12+P12+Q12+R12+S12+T12+U12)-(H13+H16+H17+H18+H19)</f>
        <v>1432196.7100000083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13">
        <f>((H13+H16+H17+H18+H19)/(N12+O12+P12+Q12+R12+S12+T12+U12))*100</f>
        <v>97.85292063280848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14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14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</f>
        <v>3936726.3699999996</v>
      </c>
      <c r="I16" s="17"/>
      <c r="J16" s="17">
        <f t="shared" si="0"/>
        <v>62.487720158730156</v>
      </c>
      <c r="K16" s="114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</f>
        <v>2815621</v>
      </c>
      <c r="I17" s="17"/>
      <c r="J17" s="17">
        <f t="shared" si="0"/>
        <v>57.461653061224496</v>
      </c>
      <c r="K17" s="114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14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15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60347856.9</v>
      </c>
      <c r="I20" s="33"/>
      <c r="J20" s="33">
        <f>H20/D20*100</f>
        <v>78.50954697121152</v>
      </c>
      <c r="K20" s="113">
        <f>(H20/(N20+O20+P20+Q20+R20+S20+T20+U20))*100</f>
        <v>92.6292331227068</v>
      </c>
      <c r="L20" s="73"/>
      <c r="M20" s="42">
        <f>(N20+O20+P20+Q20+R20+S20+T20+U20)-(H20)</f>
        <v>4802047.580000006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</f>
        <v>8158279.74</v>
      </c>
      <c r="V20" s="77">
        <f>2203922.28+2000000+2000000+200000+120000+400-2158246-600000-1326076.28</f>
        <v>2439999.999999999</v>
      </c>
      <c r="W20" s="74">
        <f>1400000+4000000-2651269</f>
        <v>2748731</v>
      </c>
      <c r="X20" s="74">
        <f>1300000+2000000+1000000-1837799.71</f>
        <v>2462200.29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</f>
        <v>21941530.699999996</v>
      </c>
      <c r="I21" s="21"/>
      <c r="J21" s="21">
        <f aca="true" t="shared" si="5" ref="J21:J27">H21/D21*100</f>
        <v>76.94760194315036</v>
      </c>
      <c r="K21" s="114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</f>
        <v>615866.15</v>
      </c>
      <c r="I22" s="21"/>
      <c r="J22" s="21">
        <f t="shared" si="5"/>
        <v>41.0576612180109</v>
      </c>
      <c r="K22" s="114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14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</f>
        <v>1457941.22</v>
      </c>
      <c r="I24" s="21"/>
      <c r="J24" s="21">
        <f t="shared" si="5"/>
        <v>80.99673444444444</v>
      </c>
      <c r="K24" s="114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</f>
        <v>2133019.58</v>
      </c>
      <c r="I25" s="21"/>
      <c r="J25" s="21">
        <f t="shared" si="5"/>
        <v>48.477640603753585</v>
      </c>
      <c r="K25" s="114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</f>
        <v>706159.07</v>
      </c>
      <c r="I26" s="21">
        <v>17240.18</v>
      </c>
      <c r="J26" s="21">
        <f t="shared" si="5"/>
        <v>46.534661666745194</v>
      </c>
      <c r="K26" s="114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</f>
        <v>31607931.840000004</v>
      </c>
      <c r="I27" s="21"/>
      <c r="J27" s="21">
        <f t="shared" si="5"/>
        <v>86.51529565026638</v>
      </c>
      <c r="K27" s="115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16226906.77</v>
      </c>
      <c r="I28" s="51"/>
      <c r="J28" s="51">
        <f>H28/D28*100</f>
        <v>41.99787523952903</v>
      </c>
      <c r="K28" s="100">
        <f>(H28/(N28+O28+P28+Q28+R28+S28+T28+U28))*100</f>
        <v>88.14413611627377</v>
      </c>
      <c r="L28" s="73"/>
      <c r="M28" s="47">
        <f aca="true" t="shared" si="6" ref="M28:M68">(N28+O28+P28+Q28+R28+S28+T28+U28)-H28</f>
        <v>2182606.879999999</v>
      </c>
      <c r="N28" s="82">
        <f>SUM(N29:N81)</f>
        <v>0</v>
      </c>
      <c r="O28" s="82">
        <f aca="true" t="shared" si="7" ref="O28:Y28">SUM(O29:O81)</f>
        <v>750000</v>
      </c>
      <c r="P28" s="82">
        <f t="shared" si="7"/>
        <v>2990870.83</v>
      </c>
      <c r="Q28" s="82">
        <f t="shared" si="7"/>
        <v>5357943</v>
      </c>
      <c r="R28" s="82">
        <f t="shared" si="7"/>
        <v>652028</v>
      </c>
      <c r="S28" s="82">
        <f t="shared" si="7"/>
        <v>884000</v>
      </c>
      <c r="T28" s="82">
        <f t="shared" si="7"/>
        <v>5700477.43</v>
      </c>
      <c r="U28" s="82">
        <f t="shared" si="7"/>
        <v>2074194.3900000001</v>
      </c>
      <c r="V28" s="82">
        <f t="shared" si="7"/>
        <v>4307090.6</v>
      </c>
      <c r="W28" s="82">
        <f t="shared" si="7"/>
        <v>9046559.13</v>
      </c>
      <c r="X28" s="82">
        <f t="shared" si="7"/>
        <v>4371461.32</v>
      </c>
      <c r="Y28" s="82">
        <f t="shared" si="7"/>
        <v>2502822.26</v>
      </c>
      <c r="Z28" s="42">
        <f>SUM(N28:Y28)</f>
        <v>38637446.96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8" ref="F29:F68">G29</f>
        <v>1500000</v>
      </c>
      <c r="G29" s="53">
        <v>1500000</v>
      </c>
      <c r="H29" s="53">
        <f>59000+29060+900000</f>
        <v>988060</v>
      </c>
      <c r="I29" s="53"/>
      <c r="J29" s="17">
        <f>H29/D29*100</f>
        <v>65.87066666666666</v>
      </c>
      <c r="K29" s="48">
        <f>(H29/(N29+O29+P29+Q29+R29+S29+T29+U29))*100</f>
        <v>100</v>
      </c>
      <c r="L29" s="73"/>
      <c r="M29" s="42">
        <f t="shared" si="6"/>
        <v>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>
        <f>-511940</f>
        <v>-511940</v>
      </c>
      <c r="V29" s="83">
        <f>511940</f>
        <v>511940</v>
      </c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8"/>
        <v>300000</v>
      </c>
      <c r="G30" s="17">
        <v>300000</v>
      </c>
      <c r="H30" s="53">
        <f>46000</f>
        <v>46000</v>
      </c>
      <c r="I30" s="53"/>
      <c r="J30" s="17">
        <f>H30/D30*100</f>
        <v>15.333333333333332</v>
      </c>
      <c r="K30" s="48">
        <f aca="true" t="shared" si="11" ref="K30:K67">(H30/(N30+O30+P30+Q30+R30+S30+T30+U30))*100</f>
        <v>15.333333333333332</v>
      </c>
      <c r="L30" s="73"/>
      <c r="M30" s="42">
        <f>(N30+O30+P30+Q30+R30+S30+T30+U30)-H30</f>
        <v>254000</v>
      </c>
      <c r="N30" s="83"/>
      <c r="O30" s="83"/>
      <c r="P30" s="83"/>
      <c r="Q30" s="83">
        <v>100000</v>
      </c>
      <c r="R30" s="83"/>
      <c r="S30" s="83">
        <v>100000</v>
      </c>
      <c r="T30" s="83">
        <f>100000-254000</f>
        <v>-154000</v>
      </c>
      <c r="U30" s="83">
        <f>254000</f>
        <v>254000</v>
      </c>
      <c r="V30" s="83"/>
      <c r="W30" s="83"/>
      <c r="X30" s="83"/>
      <c r="Y30" s="83"/>
      <c r="Z30" s="42">
        <f aca="true" t="shared" si="12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8"/>
        <v>3700000</v>
      </c>
      <c r="G31" s="17">
        <v>3700000</v>
      </c>
      <c r="H31" s="53">
        <f>120000+106060+73940</f>
        <v>300000</v>
      </c>
      <c r="I31" s="53"/>
      <c r="J31" s="17">
        <f aca="true" t="shared" si="13" ref="J31:J81">H31/D31*100</f>
        <v>8.108108108108109</v>
      </c>
      <c r="K31" s="48">
        <f t="shared" si="11"/>
        <v>100</v>
      </c>
      <c r="L31" s="73"/>
      <c r="M31" s="42">
        <f t="shared" si="6"/>
        <v>0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>
        <f>70000</f>
        <v>70000</v>
      </c>
      <c r="U31" s="83">
        <f>1700000-31000-70000-663000-938194</f>
        <v>-2194</v>
      </c>
      <c r="V31" s="83">
        <f>938194</f>
        <v>938194</v>
      </c>
      <c r="W31" s="83">
        <f>1760000+39000-194-158820</f>
        <v>1639986</v>
      </c>
      <c r="X31" s="83">
        <f>134985.87+663000</f>
        <v>797985.87</v>
      </c>
      <c r="Y31" s="83">
        <v>23834.13</v>
      </c>
      <c r="Z31" s="42">
        <f t="shared" si="12"/>
        <v>3700000</v>
      </c>
      <c r="AA31" s="45">
        <f t="shared" si="9"/>
        <v>0</v>
      </c>
    </row>
    <row r="32" spans="1:27" ht="18">
      <c r="A32" s="26"/>
      <c r="B32" s="27"/>
      <c r="C32" s="81" t="s">
        <v>113</v>
      </c>
      <c r="D32" s="17">
        <f t="shared" si="10"/>
        <v>450000</v>
      </c>
      <c r="E32" s="17"/>
      <c r="F32" s="17">
        <f t="shared" si="8"/>
        <v>450000</v>
      </c>
      <c r="G32" s="17">
        <v>450000</v>
      </c>
      <c r="H32" s="53"/>
      <c r="I32" s="53"/>
      <c r="J32" s="84">
        <f t="shared" si="13"/>
        <v>0</v>
      </c>
      <c r="K32" s="48" t="e">
        <f t="shared" si="11"/>
        <v>#DIV/0!</v>
      </c>
      <c r="L32" s="73"/>
      <c r="M32" s="42">
        <f t="shared" si="6"/>
        <v>0</v>
      </c>
      <c r="N32" s="83"/>
      <c r="O32" s="83"/>
      <c r="P32" s="83"/>
      <c r="Q32" s="83"/>
      <c r="R32" s="83"/>
      <c r="S32" s="83"/>
      <c r="T32" s="83"/>
      <c r="U32" s="83">
        <f>450000-450000</f>
        <v>0</v>
      </c>
      <c r="V32" s="83">
        <f>342035.55</f>
        <v>342035.55</v>
      </c>
      <c r="W32" s="83">
        <v>107964.45</v>
      </c>
      <c r="X32" s="83"/>
      <c r="Y32" s="83"/>
      <c r="Z32" s="42">
        <f t="shared" si="12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8"/>
        <v>112000</v>
      </c>
      <c r="G33" s="17">
        <v>112000</v>
      </c>
      <c r="H33" s="53">
        <v>111464.65</v>
      </c>
      <c r="I33" s="53"/>
      <c r="J33" s="17">
        <f t="shared" si="13"/>
        <v>99.52200892857142</v>
      </c>
      <c r="K33" s="48">
        <f t="shared" si="11"/>
        <v>99.52200892857142</v>
      </c>
      <c r="L33" s="73"/>
      <c r="M33" s="42">
        <f t="shared" si="6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2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8"/>
        <v>300000</v>
      </c>
      <c r="G34" s="17">
        <v>300000</v>
      </c>
      <c r="H34" s="53"/>
      <c r="I34" s="53"/>
      <c r="J34" s="84"/>
      <c r="K34" s="48" t="e">
        <f t="shared" si="11"/>
        <v>#DIV/0!</v>
      </c>
      <c r="L34" s="73"/>
      <c r="M34" s="42">
        <f t="shared" si="6"/>
        <v>0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74212.57+225000-300000</f>
        <v>-787.429999999993</v>
      </c>
      <c r="V34" s="83"/>
      <c r="W34" s="83">
        <f>300000</f>
        <v>300000</v>
      </c>
      <c r="X34" s="83"/>
      <c r="Y34" s="83"/>
      <c r="Z34" s="42">
        <f t="shared" si="12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8"/>
        <v>1490000</v>
      </c>
      <c r="G35" s="17">
        <v>1490000</v>
      </c>
      <c r="H35" s="53">
        <f>83220+850000</f>
        <v>933220</v>
      </c>
      <c r="I35" s="53"/>
      <c r="J35" s="75">
        <f t="shared" si="13"/>
        <v>62.63221476510067</v>
      </c>
      <c r="K35" s="48">
        <f t="shared" si="11"/>
        <v>99.91648822269808</v>
      </c>
      <c r="L35" s="73"/>
      <c r="M35" s="42">
        <f t="shared" si="6"/>
        <v>780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80000+4000</f>
        <v>84000</v>
      </c>
      <c r="U35" s="83">
        <f>850000</f>
        <v>850000</v>
      </c>
      <c r="V35" s="83"/>
      <c r="W35" s="83"/>
      <c r="X35" s="83">
        <f>1000000-4000-850000</f>
        <v>146000</v>
      </c>
      <c r="Y35" s="83">
        <v>410000</v>
      </c>
      <c r="Z35" s="42">
        <f t="shared" si="12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8"/>
        <v>375000</v>
      </c>
      <c r="G36" s="17">
        <v>375000</v>
      </c>
      <c r="H36" s="53">
        <f>23000</f>
        <v>23000</v>
      </c>
      <c r="I36" s="53"/>
      <c r="J36" s="17">
        <f t="shared" si="13"/>
        <v>6.133333333333333</v>
      </c>
      <c r="K36" s="48">
        <f t="shared" si="11"/>
        <v>54.570906588843805</v>
      </c>
      <c r="L36" s="73"/>
      <c r="M36" s="42">
        <f t="shared" si="6"/>
        <v>19147</v>
      </c>
      <c r="N36" s="83"/>
      <c r="O36" s="83"/>
      <c r="P36" s="83"/>
      <c r="Q36" s="83">
        <v>50000</v>
      </c>
      <c r="R36" s="83"/>
      <c r="S36" s="83"/>
      <c r="T36" s="83"/>
      <c r="U36" s="83">
        <f>-7853</f>
        <v>-7853</v>
      </c>
      <c r="V36" s="83"/>
      <c r="W36" s="83">
        <f>7853</f>
        <v>7853</v>
      </c>
      <c r="X36" s="83">
        <v>325000</v>
      </c>
      <c r="Y36" s="83"/>
      <c r="Z36" s="42">
        <f t="shared" si="12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8"/>
        <v>375000</v>
      </c>
      <c r="G37" s="17">
        <v>375000</v>
      </c>
      <c r="H37" s="53">
        <f>23000</f>
        <v>23000</v>
      </c>
      <c r="I37" s="53"/>
      <c r="J37" s="17">
        <f t="shared" si="13"/>
        <v>6.133333333333333</v>
      </c>
      <c r="K37" s="48">
        <f t="shared" si="11"/>
        <v>46</v>
      </c>
      <c r="L37" s="73"/>
      <c r="M37" s="42">
        <f t="shared" si="6"/>
        <v>27000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2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8"/>
        <v>163736</v>
      </c>
      <c r="G38" s="17">
        <v>163736</v>
      </c>
      <c r="H38" s="53"/>
      <c r="I38" s="53"/>
      <c r="J38" s="84"/>
      <c r="K38" s="48" t="e">
        <f t="shared" si="11"/>
        <v>#DIV/0!</v>
      </c>
      <c r="L38" s="73"/>
      <c r="M38" s="42">
        <f t="shared" si="6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2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8"/>
        <v>262000</v>
      </c>
      <c r="G39" s="17">
        <v>262000</v>
      </c>
      <c r="H39" s="53"/>
      <c r="I39" s="53"/>
      <c r="J39" s="84"/>
      <c r="K39" s="48" t="e">
        <f t="shared" si="11"/>
        <v>#DIV/0!</v>
      </c>
      <c r="L39" s="73"/>
      <c r="M39" s="42">
        <f t="shared" si="6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41667-41667</f>
        <v>0</v>
      </c>
      <c r="V39" s="83"/>
      <c r="W39" s="83">
        <f>220333+41667</f>
        <v>262000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8"/>
        <v>1490000</v>
      </c>
      <c r="G40" s="17">
        <v>1490000</v>
      </c>
      <c r="H40" s="53"/>
      <c r="I40" s="53"/>
      <c r="J40" s="84">
        <f t="shared" si="13"/>
        <v>0</v>
      </c>
      <c r="K40" s="48" t="e">
        <f t="shared" si="11"/>
        <v>#DIV/0!</v>
      </c>
      <c r="L40" s="73"/>
      <c r="M40" s="42">
        <f t="shared" si="6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100000-100000</f>
        <v>0</v>
      </c>
      <c r="V40" s="83"/>
      <c r="W40" s="83"/>
      <c r="X40" s="83">
        <f>1000000+100000</f>
        <v>1100000</v>
      </c>
      <c r="Y40" s="83">
        <v>390000</v>
      </c>
      <c r="Z40" s="42">
        <f t="shared" si="12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8"/>
        <v>1400000</v>
      </c>
      <c r="G41" s="17">
        <v>1400000</v>
      </c>
      <c r="H41" s="53">
        <f>64000+585000</f>
        <v>649000</v>
      </c>
      <c r="I41" s="53"/>
      <c r="J41" s="17">
        <f t="shared" si="13"/>
        <v>46.35714285714286</v>
      </c>
      <c r="K41" s="48">
        <f t="shared" si="11"/>
        <v>100</v>
      </c>
      <c r="L41" s="73"/>
      <c r="M41" s="42">
        <f t="shared" si="6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2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8"/>
        <v>400000</v>
      </c>
      <c r="G42" s="17">
        <v>400000</v>
      </c>
      <c r="H42" s="53">
        <f>41000</f>
        <v>41000</v>
      </c>
      <c r="I42" s="53"/>
      <c r="J42" s="17">
        <f t="shared" si="13"/>
        <v>10.25</v>
      </c>
      <c r="K42" s="48">
        <f t="shared" si="11"/>
        <v>100</v>
      </c>
      <c r="L42" s="73"/>
      <c r="M42" s="42">
        <f t="shared" si="6"/>
        <v>0</v>
      </c>
      <c r="N42" s="83"/>
      <c r="O42" s="83"/>
      <c r="P42" s="83"/>
      <c r="Q42" s="83">
        <v>45000</v>
      </c>
      <c r="R42" s="83"/>
      <c r="S42" s="83"/>
      <c r="T42" s="83">
        <f>250000-254000</f>
        <v>-4000</v>
      </c>
      <c r="U42" s="83">
        <f>254000-254000</f>
        <v>0</v>
      </c>
      <c r="V42" s="83">
        <f>171069</f>
        <v>171069</v>
      </c>
      <c r="W42" s="83">
        <f>105000+82931</f>
        <v>187931</v>
      </c>
      <c r="X42" s="83"/>
      <c r="Y42" s="83"/>
      <c r="Z42" s="42">
        <f t="shared" si="12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8"/>
        <v>1490000</v>
      </c>
      <c r="G43" s="17">
        <v>1490000</v>
      </c>
      <c r="H43" s="53"/>
      <c r="I43" s="53"/>
      <c r="J43" s="17"/>
      <c r="K43" s="48">
        <f t="shared" si="11"/>
        <v>0</v>
      </c>
      <c r="L43" s="73"/>
      <c r="M43" s="42">
        <f t="shared" si="6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2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8"/>
        <v>760000</v>
      </c>
      <c r="G44" s="17">
        <v>760000</v>
      </c>
      <c r="H44" s="53">
        <f>37000+357721</f>
        <v>394721</v>
      </c>
      <c r="I44" s="51"/>
      <c r="J44" s="17">
        <f t="shared" si="13"/>
        <v>51.93697368421053</v>
      </c>
      <c r="K44" s="48">
        <f t="shared" si="11"/>
        <v>99.97998986828775</v>
      </c>
      <c r="L44" s="73"/>
      <c r="M44" s="42">
        <f t="shared" si="6"/>
        <v>79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>
        <f>40000+354800</f>
        <v>394800</v>
      </c>
      <c r="V44" s="83"/>
      <c r="W44" s="83">
        <f>290000-40000-250000</f>
        <v>0</v>
      </c>
      <c r="X44" s="83">
        <f>470000-104800</f>
        <v>365200</v>
      </c>
      <c r="Y44" s="83"/>
      <c r="Z44" s="42">
        <f t="shared" si="12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8"/>
        <v>360834</v>
      </c>
      <c r="G45" s="17">
        <v>360834</v>
      </c>
      <c r="H45" s="53">
        <f>144314+155877</f>
        <v>300191</v>
      </c>
      <c r="I45" s="51"/>
      <c r="J45" s="17">
        <f t="shared" si="13"/>
        <v>83.1936569170311</v>
      </c>
      <c r="K45" s="48">
        <f t="shared" si="11"/>
        <v>83.1936569170311</v>
      </c>
      <c r="L45" s="73"/>
      <c r="M45" s="42">
        <f t="shared" si="6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2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8"/>
        <v>300000</v>
      </c>
      <c r="G46" s="17">
        <v>300000</v>
      </c>
      <c r="H46" s="53">
        <f>16200+122000</f>
        <v>138200</v>
      </c>
      <c r="I46" s="51"/>
      <c r="J46" s="17">
        <f t="shared" si="13"/>
        <v>46.06666666666667</v>
      </c>
      <c r="K46" s="48">
        <f t="shared" si="11"/>
        <v>100</v>
      </c>
      <c r="L46" s="73"/>
      <c r="M46" s="42">
        <f t="shared" si="6"/>
        <v>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260000-269800+269800</f>
        <v>260000</v>
      </c>
      <c r="U46" s="83">
        <f>269800-269800-147800</f>
        <v>-147800</v>
      </c>
      <c r="V46" s="83"/>
      <c r="W46" s="83">
        <f>147800</f>
        <v>147800</v>
      </c>
      <c r="X46" s="83">
        <f>14000</f>
        <v>14000</v>
      </c>
      <c r="Y46" s="83"/>
      <c r="Z46" s="42">
        <f t="shared" si="12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84">
        <f t="shared" si="13"/>
        <v>0</v>
      </c>
      <c r="K47" s="48" t="e">
        <f t="shared" si="11"/>
        <v>#DIV/0!</v>
      </c>
      <c r="L47" s="73"/>
      <c r="M47" s="42">
        <f t="shared" si="6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115000-115000</f>
        <v>0</v>
      </c>
      <c r="V47" s="83"/>
      <c r="W47" s="83">
        <f>1000000+110200</f>
        <v>1110200</v>
      </c>
      <c r="X47" s="83">
        <f>4800</f>
        <v>4800</v>
      </c>
      <c r="Y47" s="83">
        <v>375000</v>
      </c>
      <c r="Z47" s="42">
        <f t="shared" si="12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8"/>
        <v>760000</v>
      </c>
      <c r="G48" s="17">
        <v>760000</v>
      </c>
      <c r="H48" s="53">
        <f>40000+356469</f>
        <v>396469</v>
      </c>
      <c r="I48" s="51"/>
      <c r="J48" s="17">
        <f t="shared" si="13"/>
        <v>52.166973684210525</v>
      </c>
      <c r="K48" s="48">
        <f t="shared" si="11"/>
        <v>99.9921815889029</v>
      </c>
      <c r="L48" s="73"/>
      <c r="M48" s="42">
        <f t="shared" si="6"/>
        <v>31</v>
      </c>
      <c r="N48" s="83"/>
      <c r="O48" s="83"/>
      <c r="P48" s="83"/>
      <c r="Q48" s="83">
        <v>66000</v>
      </c>
      <c r="R48" s="83"/>
      <c r="S48" s="83"/>
      <c r="T48" s="83">
        <f>400000-400000-4000</f>
        <v>-4000</v>
      </c>
      <c r="U48" s="83">
        <f>334500</f>
        <v>334500</v>
      </c>
      <c r="V48" s="83">
        <f>171069-171069</f>
        <v>0</v>
      </c>
      <c r="W48" s="83">
        <f>294000+113931-163431</f>
        <v>244500</v>
      </c>
      <c r="X48" s="83">
        <f>115000+4000</f>
        <v>119000</v>
      </c>
      <c r="Y48" s="83"/>
      <c r="Z48" s="42">
        <f t="shared" si="12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8"/>
        <v>3709</v>
      </c>
      <c r="G49" s="17">
        <v>3709</v>
      </c>
      <c r="H49" s="53">
        <f>3709</f>
        <v>3709</v>
      </c>
      <c r="I49" s="17"/>
      <c r="J49" s="17">
        <f t="shared" si="13"/>
        <v>100</v>
      </c>
      <c r="K49" s="48">
        <f t="shared" si="11"/>
        <v>100</v>
      </c>
      <c r="L49" s="73"/>
      <c r="M49" s="42">
        <f t="shared" si="6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2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8"/>
        <v>550000</v>
      </c>
      <c r="G50" s="17">
        <v>550000</v>
      </c>
      <c r="H50" s="53">
        <f>20000+331000</f>
        <v>351000</v>
      </c>
      <c r="I50" s="51"/>
      <c r="J50" s="17">
        <f t="shared" si="13"/>
        <v>63.81818181818182</v>
      </c>
      <c r="K50" s="48">
        <f t="shared" si="11"/>
        <v>100</v>
      </c>
      <c r="L50" s="73"/>
      <c r="M50" s="42">
        <f t="shared" si="6"/>
        <v>0</v>
      </c>
      <c r="N50" s="83"/>
      <c r="O50" s="83"/>
      <c r="P50" s="83"/>
      <c r="Q50" s="83">
        <v>45000</v>
      </c>
      <c r="R50" s="83"/>
      <c r="S50" s="83"/>
      <c r="T50" s="83">
        <f>350000-350000+275000-300000+331000</f>
        <v>306000</v>
      </c>
      <c r="U50" s="83">
        <f>300000-300000</f>
        <v>0</v>
      </c>
      <c r="V50" s="83">
        <f>350000-275000-31000</f>
        <v>44000</v>
      </c>
      <c r="W50" s="83">
        <v>155000</v>
      </c>
      <c r="X50" s="83"/>
      <c r="Y50" s="83"/>
      <c r="Z50" s="42">
        <f t="shared" si="12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8"/>
        <v>1430000</v>
      </c>
      <c r="G51" s="17">
        <v>1430000</v>
      </c>
      <c r="H51" s="53">
        <f>970000+298704.47</f>
        <v>1268704.47</v>
      </c>
      <c r="I51" s="17"/>
      <c r="J51" s="75">
        <f t="shared" si="13"/>
        <v>88.7205923076923</v>
      </c>
      <c r="K51" s="48">
        <f t="shared" si="11"/>
        <v>88.7205923076923</v>
      </c>
      <c r="L51" s="73"/>
      <c r="M51" s="42">
        <f t="shared" si="6"/>
        <v>161295.53000000003</v>
      </c>
      <c r="N51" s="83"/>
      <c r="O51" s="83"/>
      <c r="P51" s="83">
        <v>1000000</v>
      </c>
      <c r="Q51" s="83"/>
      <c r="R51" s="83"/>
      <c r="S51" s="83"/>
      <c r="T51" s="83">
        <f>430000-75800</f>
        <v>354200</v>
      </c>
      <c r="U51" s="83">
        <f>75800</f>
        <v>75800</v>
      </c>
      <c r="V51" s="83"/>
      <c r="W51" s="83"/>
      <c r="X51" s="83"/>
      <c r="Y51" s="83"/>
      <c r="Z51" s="42">
        <f t="shared" si="12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8"/>
        <v>244236.83</v>
      </c>
      <c r="G52" s="17">
        <f>240000+2416.83+1820</f>
        <v>244236.83</v>
      </c>
      <c r="H52" s="53"/>
      <c r="I52" s="51"/>
      <c r="J52" s="84">
        <f t="shared" si="13"/>
        <v>0</v>
      </c>
      <c r="K52" s="48">
        <f t="shared" si="11"/>
        <v>0</v>
      </c>
      <c r="L52" s="73"/>
      <c r="M52" s="42">
        <f t="shared" si="6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2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8"/>
        <v>1450000</v>
      </c>
      <c r="G53" s="17">
        <v>1450000</v>
      </c>
      <c r="H53" s="53">
        <f>77000+800000</f>
        <v>877000</v>
      </c>
      <c r="I53" s="51"/>
      <c r="J53" s="17">
        <f t="shared" si="13"/>
        <v>60.48275862068966</v>
      </c>
      <c r="K53" s="48">
        <f t="shared" si="11"/>
        <v>100</v>
      </c>
      <c r="L53" s="73"/>
      <c r="M53" s="42">
        <f t="shared" si="6"/>
        <v>0</v>
      </c>
      <c r="N53" s="83"/>
      <c r="O53" s="83"/>
      <c r="P53" s="83"/>
      <c r="Q53" s="83">
        <v>115000</v>
      </c>
      <c r="R53" s="83"/>
      <c r="S53" s="83"/>
      <c r="T53" s="83">
        <f>800000-38000</f>
        <v>762000</v>
      </c>
      <c r="U53" s="83">
        <f>1000000-800000+7000-207000</f>
        <v>0</v>
      </c>
      <c r="V53" s="83">
        <f>31000+207000</f>
        <v>238000</v>
      </c>
      <c r="W53" s="83">
        <v>335000</v>
      </c>
      <c r="X53" s="83"/>
      <c r="Y53" s="83"/>
      <c r="Z53" s="42">
        <f t="shared" si="12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8"/>
        <v>2500000</v>
      </c>
      <c r="G54" s="17">
        <v>2500000</v>
      </c>
      <c r="H54" s="53">
        <f>120000+106060</f>
        <v>226060</v>
      </c>
      <c r="I54" s="53"/>
      <c r="J54" s="75">
        <f t="shared" si="13"/>
        <v>9.0424</v>
      </c>
      <c r="K54" s="48">
        <f t="shared" si="11"/>
        <v>100</v>
      </c>
      <c r="L54" s="73"/>
      <c r="M54" s="42">
        <f t="shared" si="6"/>
        <v>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700000+802000-1513940</f>
        <v>-11940</v>
      </c>
      <c r="V54" s="83"/>
      <c r="W54" s="83">
        <f>760000+1209304.55</f>
        <v>1969304.55</v>
      </c>
      <c r="X54" s="83">
        <f>304635.45</f>
        <v>304635.45</v>
      </c>
      <c r="Y54" s="83"/>
      <c r="Z54" s="42">
        <f t="shared" si="12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8"/>
        <v>134745</v>
      </c>
      <c r="G55" s="17">
        <v>134745</v>
      </c>
      <c r="H55" s="53"/>
      <c r="I55" s="53"/>
      <c r="J55" s="94">
        <f t="shared" si="13"/>
        <v>0</v>
      </c>
      <c r="K55" s="48" t="e">
        <f t="shared" si="11"/>
        <v>#DIV/0!</v>
      </c>
      <c r="L55" s="73"/>
      <c r="M55" s="42">
        <f t="shared" si="6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2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3"/>
        <v>89.56556509962319</v>
      </c>
      <c r="K56" s="48">
        <f t="shared" si="11"/>
        <v>100</v>
      </c>
      <c r="L56" s="73"/>
      <c r="M56" s="42">
        <f t="shared" si="6"/>
        <v>0</v>
      </c>
      <c r="N56" s="83"/>
      <c r="O56" s="83"/>
      <c r="P56" s="83"/>
      <c r="Q56" s="83"/>
      <c r="R56" s="83">
        <f>600000</f>
        <v>600000</v>
      </c>
      <c r="S56" s="83"/>
      <c r="T56" s="83">
        <f>-22000</f>
        <v>-22000</v>
      </c>
      <c r="U56" s="83">
        <f>22000-22980</f>
        <v>-980</v>
      </c>
      <c r="V56" s="83"/>
      <c r="W56" s="83">
        <f>22980</f>
        <v>22980</v>
      </c>
      <c r="X56" s="83"/>
      <c r="Y56" s="83">
        <f>644243.13-600000</f>
        <v>44243.130000000005</v>
      </c>
      <c r="Z56" s="42">
        <f t="shared" si="12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3"/>
        <v>73.69819977373515</v>
      </c>
      <c r="K57" s="48">
        <f t="shared" si="11"/>
        <v>99.93843128108473</v>
      </c>
      <c r="L57" s="73"/>
      <c r="M57" s="42">
        <f t="shared" si="6"/>
        <v>1015.0500000002794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833333-833333-27000</f>
        <v>-27000</v>
      </c>
      <c r="U57" s="83">
        <f>602312.64-41667+27000-587000</f>
        <v>645.640000000014</v>
      </c>
      <c r="V57" s="83"/>
      <c r="W57" s="83">
        <f>400000</f>
        <v>400000</v>
      </c>
      <c r="X57" s="83">
        <f>187000</f>
        <v>187000</v>
      </c>
      <c r="Y57" s="83"/>
      <c r="Z57" s="42">
        <f t="shared" si="12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3"/>
        <v>42.53782435841455</v>
      </c>
      <c r="K58" s="48">
        <f t="shared" si="11"/>
        <v>100</v>
      </c>
      <c r="L58" s="73"/>
      <c r="M58" s="42">
        <f t="shared" si="6"/>
        <v>0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231020.36+31000+400000-45846.73-619731.32</f>
        <v>-3557.689999999944</v>
      </c>
      <c r="V58" s="83">
        <f>233334+45846.73+619731.32</f>
        <v>898912.0499999999</v>
      </c>
      <c r="W58" s="83"/>
      <c r="X58" s="83"/>
      <c r="Y58" s="83"/>
      <c r="Z58" s="42">
        <f t="shared" si="12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f>45000+341269.74</f>
        <v>386269.74</v>
      </c>
      <c r="I59" s="53"/>
      <c r="J59" s="75">
        <f t="shared" si="13"/>
        <v>99.04352307692308</v>
      </c>
      <c r="K59" s="48">
        <f t="shared" si="11"/>
        <v>99.04352307692308</v>
      </c>
      <c r="L59" s="73"/>
      <c r="M59" s="42">
        <f t="shared" si="6"/>
        <v>3730.2600000000093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>
        <f>160000</f>
        <v>160000</v>
      </c>
      <c r="V59" s="83"/>
      <c r="W59" s="83">
        <f>160000-160000</f>
        <v>0</v>
      </c>
      <c r="X59" s="83"/>
      <c r="Y59" s="83"/>
      <c r="Z59" s="42">
        <f t="shared" si="12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8"/>
        <v>1000000</v>
      </c>
      <c r="G60" s="17">
        <v>1000000</v>
      </c>
      <c r="H60" s="53">
        <f>88000+602646.39+309280.56</f>
        <v>999926.95</v>
      </c>
      <c r="I60" s="53"/>
      <c r="J60" s="97">
        <f t="shared" si="13"/>
        <v>99.992695</v>
      </c>
      <c r="K60" s="48">
        <f t="shared" si="11"/>
        <v>99.992695</v>
      </c>
      <c r="L60" s="73"/>
      <c r="M60" s="42">
        <f t="shared" si="6"/>
        <v>73.05000000004657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>
        <v>200000</v>
      </c>
      <c r="V60" s="85"/>
      <c r="W60" s="85">
        <f>200000-200000</f>
        <v>0</v>
      </c>
      <c r="X60" s="85"/>
      <c r="Y60" s="85"/>
      <c r="Z60" s="42">
        <f t="shared" si="12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8"/>
        <v>768000</v>
      </c>
      <c r="G61" s="17">
        <f>800000-32000</f>
        <v>768000</v>
      </c>
      <c r="H61" s="53">
        <f>48000+363000</f>
        <v>411000</v>
      </c>
      <c r="I61" s="53"/>
      <c r="J61" s="17">
        <f t="shared" si="13"/>
        <v>53.515625</v>
      </c>
      <c r="K61" s="48">
        <f t="shared" si="11"/>
        <v>97.16312056737588</v>
      </c>
      <c r="L61" s="73"/>
      <c r="M61" s="42">
        <f t="shared" si="6"/>
        <v>12000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2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8"/>
        <v>632000</v>
      </c>
      <c r="G62" s="17">
        <f>600000+32000</f>
        <v>632000</v>
      </c>
      <c r="H62" s="53">
        <f>42000+300000</f>
        <v>342000</v>
      </c>
      <c r="I62" s="53"/>
      <c r="J62" s="17">
        <f t="shared" si="13"/>
        <v>54.11392405063291</v>
      </c>
      <c r="K62" s="48">
        <f t="shared" si="11"/>
        <v>88.10799670239076</v>
      </c>
      <c r="L62" s="73"/>
      <c r="M62" s="42">
        <f t="shared" si="6"/>
        <v>46160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2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60000+745000</f>
        <v>805000</v>
      </c>
      <c r="I63" s="53"/>
      <c r="J63" s="17">
        <f t="shared" si="13"/>
        <v>62.792511700468026</v>
      </c>
      <c r="K63" s="48">
        <f t="shared" si="11"/>
        <v>100</v>
      </c>
      <c r="L63" s="73"/>
      <c r="M63" s="42">
        <f t="shared" si="6"/>
        <v>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500000+245000</f>
        <v>745000</v>
      </c>
      <c r="U63" s="98">
        <f>225695.87+81000-300000-6695.87</f>
        <v>0</v>
      </c>
      <c r="V63" s="98">
        <f>175000-175000</f>
        <v>0</v>
      </c>
      <c r="W63" s="98">
        <f>600000+35304.13-200000-63304.13</f>
        <v>372000</v>
      </c>
      <c r="X63" s="98"/>
      <c r="Y63" s="98">
        <f>280000-175000</f>
        <v>105000</v>
      </c>
      <c r="Z63" s="42">
        <f t="shared" si="12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3"/>
        <v>0</v>
      </c>
      <c r="K64" s="48">
        <f t="shared" si="11"/>
        <v>0</v>
      </c>
      <c r="L64" s="73"/>
      <c r="M64" s="42">
        <f t="shared" si="6"/>
        <v>271695.87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f>450000-245000</f>
        <v>205000</v>
      </c>
      <c r="U64" s="85">
        <f>14255+6695.87</f>
        <v>20950.87</v>
      </c>
      <c r="V64" s="85">
        <f>175000</f>
        <v>175000</v>
      </c>
      <c r="W64" s="85">
        <f>190000+63304.13</f>
        <v>253304.13</v>
      </c>
      <c r="X64" s="85"/>
      <c r="Y64" s="85"/>
      <c r="Z64" s="42">
        <f t="shared" si="12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3"/>
        <v>99.88701866880407</v>
      </c>
      <c r="K65" s="48">
        <f t="shared" si="11"/>
        <v>99.88701866880407</v>
      </c>
      <c r="L65" s="73"/>
      <c r="M65" s="42">
        <f t="shared" si="6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2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8"/>
        <v>2800000</v>
      </c>
      <c r="G66" s="17">
        <f>3000000-200000</f>
        <v>2800000</v>
      </c>
      <c r="H66" s="53">
        <f>1761451.15+696863.29</f>
        <v>2458314.44</v>
      </c>
      <c r="I66" s="53"/>
      <c r="J66" s="97">
        <f t="shared" si="13"/>
        <v>87.79694428571429</v>
      </c>
      <c r="K66" s="48">
        <f t="shared" si="11"/>
        <v>87.79694428571429</v>
      </c>
      <c r="L66" s="73"/>
      <c r="M66" s="42">
        <f t="shared" si="6"/>
        <v>341685.56000000006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2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8"/>
        <v>1400000</v>
      </c>
      <c r="G67" s="17">
        <v>1400000</v>
      </c>
      <c r="H67" s="53">
        <f>70000+42060</f>
        <v>112060</v>
      </c>
      <c r="I67" s="53"/>
      <c r="J67" s="17">
        <f t="shared" si="13"/>
        <v>8.004285714285714</v>
      </c>
      <c r="K67" s="48">
        <f t="shared" si="11"/>
        <v>100</v>
      </c>
      <c r="L67" s="73"/>
      <c r="M67" s="42">
        <f t="shared" si="6"/>
        <v>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1000000-19000-987940</f>
        <v>-6940</v>
      </c>
      <c r="V67" s="85">
        <f>987940</f>
        <v>987940</v>
      </c>
      <c r="W67" s="85">
        <v>300000</v>
      </c>
      <c r="X67" s="85"/>
      <c r="Y67" s="85"/>
      <c r="Z67" s="42">
        <f t="shared" si="12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8"/>
        <v>1400000</v>
      </c>
      <c r="G68" s="17">
        <v>1400000</v>
      </c>
      <c r="H68" s="53">
        <f>43000+678534.45</f>
        <v>721534.45</v>
      </c>
      <c r="I68" s="53"/>
      <c r="J68" s="96">
        <f t="shared" si="13"/>
        <v>51.538174999999995</v>
      </c>
      <c r="K68" s="48">
        <f>(H68/(N68+O68+P68+Q68+R68+S68+T68+U68))*100</f>
        <v>51.538174999999995</v>
      </c>
      <c r="L68" s="73"/>
      <c r="M68" s="42">
        <f t="shared" si="6"/>
        <v>678465.55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2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3"/>
        <v>#DIV/0!</v>
      </c>
      <c r="K69" s="48" t="e">
        <f aca="true" t="shared" si="14" ref="K69:K81">(H69/(N69+O69+P69+Q69+R69+S69+T69))*100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2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3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2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3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2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3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2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3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2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3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3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2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3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3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2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3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3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3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2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3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2"/>
        <v>0</v>
      </c>
      <c r="AA81" s="45">
        <f t="shared" si="9"/>
        <v>0</v>
      </c>
    </row>
    <row r="82" spans="1:27" ht="18">
      <c r="A82" s="102" t="s">
        <v>36</v>
      </c>
      <c r="B82" s="103"/>
      <c r="C82" s="103"/>
      <c r="D82" s="103"/>
      <c r="E82" s="103"/>
      <c r="F82" s="103"/>
      <c r="G82" s="104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2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41668895.67</v>
      </c>
      <c r="I83" s="8"/>
      <c r="J83" s="8">
        <f aca="true" t="shared" si="18" ref="J83:J111">H83/D83*100</f>
        <v>19.06730087675759</v>
      </c>
      <c r="K83" s="100">
        <f>(H83/(N83+O83+P83+Q83+R83+S83+T83+U83))*100</f>
        <v>45.398785006213416</v>
      </c>
      <c r="L83" s="73"/>
      <c r="M83" s="95">
        <f aca="true" t="shared" si="19" ref="M83:M112">(N83+O83+P83+Q83+R83+S83+T83+U83)-H83</f>
        <v>50115269.17999999</v>
      </c>
      <c r="N83" s="59">
        <f aca="true" t="shared" si="20" ref="N83:Y83">SUM(N84:N111)</f>
        <v>0</v>
      </c>
      <c r="O83" s="47">
        <f t="shared" si="20"/>
        <v>150000</v>
      </c>
      <c r="P83" s="47">
        <f t="shared" si="20"/>
        <v>19400000</v>
      </c>
      <c r="Q83" s="47">
        <f t="shared" si="20"/>
        <v>2949500</v>
      </c>
      <c r="R83" s="47">
        <f t="shared" si="20"/>
        <v>10966864</v>
      </c>
      <c r="S83" s="47">
        <f t="shared" si="20"/>
        <v>4813000.85</v>
      </c>
      <c r="T83" s="47">
        <f t="shared" si="20"/>
        <v>26136200</v>
      </c>
      <c r="U83" s="47">
        <f t="shared" si="20"/>
        <v>27368600</v>
      </c>
      <c r="V83" s="47">
        <f t="shared" si="20"/>
        <v>22151600</v>
      </c>
      <c r="W83" s="47">
        <f t="shared" si="20"/>
        <v>36307000.42</v>
      </c>
      <c r="X83" s="47">
        <f t="shared" si="20"/>
        <v>45502500</v>
      </c>
      <c r="Y83" s="47">
        <f t="shared" si="20"/>
        <v>22790624.73</v>
      </c>
      <c r="Z83" s="42">
        <f t="shared" si="12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8"/>
        <v>1.4594</v>
      </c>
      <c r="K84" s="48">
        <f>(H84/(N84+O84+P84+Q84+R84+S84+T84+U84))*100</f>
        <v>2.6534545454545455</v>
      </c>
      <c r="L84" s="73"/>
      <c r="M84" s="42">
        <f t="shared" si="19"/>
        <v>535406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2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15136+68629</f>
        <v>83765</v>
      </c>
      <c r="I85" s="54"/>
      <c r="J85" s="17">
        <f t="shared" si="18"/>
        <v>4.18825</v>
      </c>
      <c r="K85" s="48">
        <f aca="true" t="shared" si="21" ref="K85:K112">(H85/(N85+O85+P85+Q85+R85+S85+T85+U85))*100</f>
        <v>5.584333333333333</v>
      </c>
      <c r="L85" s="73"/>
      <c r="M85" s="42">
        <f t="shared" si="19"/>
        <v>1416235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2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8"/>
        <v>0.88065</v>
      </c>
      <c r="K86" s="48">
        <f t="shared" si="21"/>
        <v>1.3548461538461538</v>
      </c>
      <c r="L86" s="73"/>
      <c r="M86" s="42">
        <f t="shared" si="19"/>
        <v>1282387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2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48">
        <f t="shared" si="21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2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8"/>
        <v>33.4792472992015</v>
      </c>
      <c r="K88" s="48">
        <f t="shared" si="21"/>
        <v>47.51821166666667</v>
      </c>
      <c r="L88" s="73"/>
      <c r="M88" s="42">
        <f t="shared" si="19"/>
        <v>629781.46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2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8"/>
        <v>6.25</v>
      </c>
      <c r="K89" s="48">
        <f t="shared" si="21"/>
        <v>11.11111111111111</v>
      </c>
      <c r="L89" s="73"/>
      <c r="M89" s="42">
        <f t="shared" si="19"/>
        <v>2000000</v>
      </c>
      <c r="N89" s="87"/>
      <c r="O89" s="87"/>
      <c r="P89" s="87"/>
      <c r="Q89" s="87"/>
      <c r="R89" s="87">
        <f>250000</f>
        <v>250000</v>
      </c>
      <c r="S89" s="87"/>
      <c r="T89" s="87"/>
      <c r="U89" s="87">
        <f>2000000</f>
        <v>2000000</v>
      </c>
      <c r="V89" s="87"/>
      <c r="W89" s="87">
        <f>1000000-250000</f>
        <v>750000</v>
      </c>
      <c r="X89" s="87">
        <f>1000000</f>
        <v>1000000</v>
      </c>
      <c r="Y89" s="87">
        <f>2000000-2000000</f>
        <v>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6">
        <f t="shared" si="18"/>
        <v>2.1199</v>
      </c>
      <c r="K90" s="48">
        <f t="shared" si="21"/>
        <v>3.854363636363636</v>
      </c>
      <c r="L90" s="73"/>
      <c r="M90" s="42">
        <f t="shared" si="19"/>
        <v>528801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2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48">
        <f t="shared" si="21"/>
        <v>93.99790816326531</v>
      </c>
      <c r="L91" s="73"/>
      <c r="M91" s="42">
        <f t="shared" si="19"/>
        <v>735256.25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101">
        <f>5000000+350000+1700000-315150-7000000</f>
        <v>-265150</v>
      </c>
      <c r="V91" s="101"/>
      <c r="W91" s="101">
        <f>250000+7000000</f>
        <v>7250000</v>
      </c>
      <c r="X91" s="101"/>
      <c r="Y91" s="101">
        <v>500000</v>
      </c>
      <c r="Z91" s="42">
        <f t="shared" si="12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847001.35+9472398.19</f>
        <v>10319399.54</v>
      </c>
      <c r="I92" s="54"/>
      <c r="J92" s="75">
        <f t="shared" si="18"/>
        <v>34.397998466666664</v>
      </c>
      <c r="K92" s="48">
        <f t="shared" si="21"/>
        <v>50.337061061627466</v>
      </c>
      <c r="L92" s="73"/>
      <c r="M92" s="42">
        <f t="shared" si="19"/>
        <v>10181200.46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10000000-350000-9650000+10000000</f>
        <v>10000000</v>
      </c>
      <c r="V92" s="87"/>
      <c r="W92" s="87">
        <f>9377191.27-9000000</f>
        <v>377191.26999999955</v>
      </c>
      <c r="X92" s="87">
        <f>6433600-1000000</f>
        <v>5433600</v>
      </c>
      <c r="Y92" s="87">
        <v>3688608.73</v>
      </c>
      <c r="Z92" s="42">
        <f t="shared" si="12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48">
        <f t="shared" si="21"/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2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8"/>
        <v>2.098066666666667</v>
      </c>
      <c r="K94" s="48">
        <f t="shared" si="21"/>
        <v>3.1471</v>
      </c>
      <c r="L94" s="73"/>
      <c r="M94" s="42">
        <f t="shared" si="19"/>
        <v>968529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2"/>
        <v>1500000</v>
      </c>
      <c r="AA94" s="45">
        <f t="shared" si="9"/>
        <v>0</v>
      </c>
    </row>
    <row r="95" spans="1:27" ht="18">
      <c r="A95" s="56"/>
      <c r="B95" s="18"/>
      <c r="C95" s="81" t="s">
        <v>110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48">
        <f t="shared" si="21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99">
        <f>3000000-1000000-531000</f>
        <v>1469000</v>
      </c>
      <c r="U95" s="99"/>
      <c r="V95" s="99">
        <v>1000000</v>
      </c>
      <c r="W95" s="99"/>
      <c r="X95" s="99">
        <v>20000000</v>
      </c>
      <c r="Y95" s="99">
        <f>15478996-5000000</f>
        <v>10478996</v>
      </c>
      <c r="Z95" s="42">
        <f t="shared" si="12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7">
        <f t="shared" si="18"/>
        <v>1.9501428571428572</v>
      </c>
      <c r="K96" s="48">
        <f t="shared" si="21"/>
        <v>4.550333333333334</v>
      </c>
      <c r="L96" s="92"/>
      <c r="M96" s="42">
        <f t="shared" si="19"/>
        <v>286349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48">
        <f t="shared" si="21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48" t="e">
        <f t="shared" si="21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48">
        <f t="shared" si="21"/>
        <v>0</v>
      </c>
      <c r="L99" s="73"/>
      <c r="M99" s="42">
        <f t="shared" si="19"/>
        <v>1041860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48">
        <f t="shared" si="21"/>
        <v>0</v>
      </c>
      <c r="L100" s="73"/>
      <c r="M100" s="42">
        <f t="shared" si="19"/>
        <v>1319770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6">
        <f t="shared" si="18"/>
        <v>10.397322940183894</v>
      </c>
      <c r="K101" s="48">
        <f t="shared" si="21"/>
        <v>48.55940305634102</v>
      </c>
      <c r="L101" s="73"/>
      <c r="M101" s="42">
        <f t="shared" si="19"/>
        <v>2348566.75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1065590+2900000-5000000</f>
        <v>-1034410</v>
      </c>
      <c r="V101" s="87">
        <v>1500000</v>
      </c>
      <c r="W101" s="87">
        <f>1934410+5000000</f>
        <v>6934410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7">
        <f t="shared" si="18"/>
        <v>2.65304</v>
      </c>
      <c r="K102" s="48">
        <f t="shared" si="21"/>
        <v>7.895952380952381</v>
      </c>
      <c r="L102" s="73"/>
      <c r="M102" s="42">
        <f t="shared" si="19"/>
        <v>3094696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48">
        <f t="shared" si="21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48">
        <f t="shared" si="21"/>
        <v>0</v>
      </c>
      <c r="L104" s="73"/>
      <c r="M104" s="42">
        <f t="shared" si="19"/>
        <v>11438000.85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5000000+2100000-3500000</f>
        <v>3600000</v>
      </c>
      <c r="V104" s="87">
        <f>11000000-1200000</f>
        <v>9800000</v>
      </c>
      <c r="W104" s="87">
        <f>7996999.15+500000</f>
        <v>8496999.15</v>
      </c>
      <c r="X104" s="87">
        <f>3005000+60000-400000+1000000</f>
        <v>3665000</v>
      </c>
      <c r="Y104" s="87">
        <f>2000000</f>
        <v>2000000</v>
      </c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</f>
        <v>983986</v>
      </c>
      <c r="I105" s="54"/>
      <c r="J105" s="17">
        <f t="shared" si="18"/>
        <v>5.4665888888888885</v>
      </c>
      <c r="K105" s="48">
        <f t="shared" si="21"/>
        <v>19.67972</v>
      </c>
      <c r="L105" s="73"/>
      <c r="M105" s="42">
        <f t="shared" si="19"/>
        <v>4016014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>
        <f>17148</f>
        <v>17148</v>
      </c>
      <c r="I106" s="54"/>
      <c r="J106" s="97">
        <f t="shared" si="18"/>
        <v>0.8574</v>
      </c>
      <c r="K106" s="48">
        <f t="shared" si="21"/>
        <v>1.7148</v>
      </c>
      <c r="L106" s="73"/>
      <c r="M106" s="42">
        <f t="shared" si="19"/>
        <v>982852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48">
        <f t="shared" si="21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48">
        <f t="shared" si="21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/>
      <c r="I109" s="54"/>
      <c r="J109" s="84"/>
      <c r="K109" s="48">
        <f t="shared" si="21"/>
        <v>0</v>
      </c>
      <c r="L109" s="73"/>
      <c r="M109" s="42">
        <f t="shared" si="19"/>
        <v>3000000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8"/>
        <v>62.61332046176346</v>
      </c>
      <c r="K110" s="48">
        <f t="shared" si="21"/>
        <v>91.33327300653595</v>
      </c>
      <c r="L110" s="73"/>
      <c r="M110" s="42">
        <f t="shared" si="19"/>
        <v>1326009.2300000004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4000000+2850000-2300000-3500000</f>
        <v>1050000</v>
      </c>
      <c r="V110" s="87">
        <v>1000000</v>
      </c>
      <c r="W110" s="87">
        <f>3500000</f>
        <v>3500000</v>
      </c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48">
        <f t="shared" si="21"/>
        <v>0</v>
      </c>
      <c r="L111" s="73"/>
      <c r="M111" s="42">
        <f t="shared" si="19"/>
        <v>600000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183515876.63</v>
      </c>
      <c r="I112" s="8"/>
      <c r="J112" s="8">
        <f>H112/D112*100</f>
        <v>45.384983180493</v>
      </c>
      <c r="K112" s="100">
        <f t="shared" si="21"/>
        <v>75.81796954310826</v>
      </c>
      <c r="L112" s="73"/>
      <c r="M112" s="47">
        <f t="shared" si="19"/>
        <v>58532120.349999994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53010170.18</v>
      </c>
      <c r="U112" s="47">
        <f t="shared" si="26"/>
        <v>44440322.09</v>
      </c>
      <c r="V112" s="47">
        <f t="shared" si="26"/>
        <v>31247776.6</v>
      </c>
      <c r="W112" s="47">
        <f t="shared" si="26"/>
        <v>48522290.550000004</v>
      </c>
      <c r="X112" s="47">
        <f t="shared" si="26"/>
        <v>52756161.61</v>
      </c>
      <c r="Y112" s="47">
        <f t="shared" si="26"/>
        <v>29779513.69</v>
      </c>
      <c r="Z112" s="42">
        <f t="shared" si="25"/>
        <v>404353739.43</v>
      </c>
      <c r="AA112" s="45">
        <f t="shared" si="24"/>
        <v>0</v>
      </c>
    </row>
    <row r="113" ht="12.75">
      <c r="AA113" s="45"/>
    </row>
    <row r="114" ht="12.75">
      <c r="H114" s="45"/>
    </row>
    <row r="115" ht="12.75">
      <c r="H115" s="45"/>
    </row>
  </sheetData>
  <sheetProtection/>
  <mergeCells count="29"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2019-08-29T13:58:37Z</dcterms:modified>
  <cp:category/>
  <cp:version/>
  <cp:contentType/>
  <cp:contentStatus/>
</cp:coreProperties>
</file>